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elevateenergy1.sharepoint.com/sites/ILSFA-ProgramManagement/Shared Documents/Marketing and Communications/Announcements/PY6 2023-2024/2024/01 January/1.16.24 Community Solar Project Selection - Webinar Announcement/"/>
    </mc:Choice>
  </mc:AlternateContent>
  <xr:revisionPtr revIDLastSave="1" documentId="8_{3407EAC2-7E94-4999-8D2D-C5E99F10BD1A}" xr6:coauthVersionLast="47" xr6:coauthVersionMax="47" xr10:uidLastSave="{52CA4373-9F76-484C-8DC5-B5C367602886}"/>
  <bookViews>
    <workbookView xWindow="-120" yWindow="-120" windowWidth="38640" windowHeight="21390" xr2:uid="{00000000-000D-0000-FFFF-FFFF00000000}"/>
  </bookViews>
  <sheets>
    <sheet name="EJC Projects" sheetId="2" r:id="rId1"/>
    <sheet name="Total_Incentives" sheetId="6" state="hidden" r:id="rId2"/>
  </sheets>
  <definedNames>
    <definedName name="_xlnm._FilterDatabase" localSheetId="0" hidden="1">'EJC Projects'!$A$2:$R$3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2" l="1"/>
  <c r="W4" i="2"/>
  <c r="W5" i="2"/>
  <c r="W6" i="2"/>
  <c r="W7" i="2"/>
  <c r="W8" i="2"/>
  <c r="W9" i="2"/>
  <c r="W10" i="2"/>
  <c r="W11" i="2"/>
  <c r="W12" i="2"/>
  <c r="W13" i="2"/>
  <c r="W14" i="2"/>
  <c r="W15" i="2"/>
  <c r="W16" i="2"/>
  <c r="W17" i="2"/>
  <c r="W18" i="2"/>
  <c r="S3" i="2"/>
  <c r="X9" i="2" l="1"/>
  <c r="X13" i="2"/>
  <c r="X5" i="2"/>
  <c r="X16" i="2"/>
  <c r="X12" i="2"/>
  <c r="X11" i="2"/>
  <c r="X4" i="2"/>
  <c r="X10" i="2"/>
  <c r="X3" i="2"/>
  <c r="X8" i="2"/>
  <c r="X15" i="2"/>
  <c r="X7" i="2"/>
  <c r="X14" i="2"/>
  <c r="X6" i="2"/>
  <c r="X17" i="2"/>
  <c r="T3" i="2" l="1"/>
  <c r="W4" i="6" l="1"/>
  <c r="W3" i="6"/>
  <c r="W2" i="6"/>
  <c r="W5" i="6" l="1"/>
  <c r="W6" i="6" l="1"/>
  <c r="X3" i="6" l="1"/>
  <c r="X4" i="6"/>
  <c r="X2" i="6"/>
  <c r="W8" i="6"/>
</calcChain>
</file>

<file path=xl/sharedStrings.xml><?xml version="1.0" encoding="utf-8"?>
<sst xmlns="http://schemas.openxmlformats.org/spreadsheetml/2006/main" count="101" uniqueCount="72">
  <si>
    <t>Project Id</t>
  </si>
  <si>
    <t>Type of Project</t>
  </si>
  <si>
    <t>REC Value ($)</t>
  </si>
  <si>
    <t>Projected Project Size (AC kW) Formula</t>
  </si>
  <si>
    <t>Size Points</t>
  </si>
  <si>
    <t>Region for Regional Environmental Justice Score</t>
  </si>
  <si>
    <t>Regional Environmental Justice Score Points</t>
  </si>
  <si>
    <t>Is Energy Sovereignty Project</t>
  </si>
  <si>
    <t>EJC</t>
  </si>
  <si>
    <t>EJC Points</t>
  </si>
  <si>
    <t>Low-Income Census Tract</t>
  </si>
  <si>
    <t>LI CT Points</t>
  </si>
  <si>
    <t>Women/Minority Owned Business</t>
  </si>
  <si>
    <t>WMBE Points</t>
  </si>
  <si>
    <t>Anchor Type Points</t>
  </si>
  <si>
    <t>Total Points</t>
  </si>
  <si>
    <t>Category</t>
  </si>
  <si>
    <t>Total Incentive Value</t>
  </si>
  <si>
    <t>Percentage of Total Incentive Value</t>
  </si>
  <si>
    <t>Points</t>
  </si>
  <si>
    <t>Community Solar</t>
  </si>
  <si>
    <t>No</t>
  </si>
  <si>
    <t>Yes</t>
  </si>
  <si>
    <t>Size &gt;1000</t>
  </si>
  <si>
    <t>P-9002 - PY6</t>
  </si>
  <si>
    <t>Cook</t>
  </si>
  <si>
    <t>Size &gt;500&lt;=1000</t>
  </si>
  <si>
    <t>Size &gt;100&lt;=500</t>
  </si>
  <si>
    <t>Size &lt;=100</t>
  </si>
  <si>
    <t>EJ Region - Highest Regional EJ Score</t>
  </si>
  <si>
    <t>EJ Region - Second Highest Regional EJ Score</t>
  </si>
  <si>
    <t>EJ Region - No RECs to date</t>
  </si>
  <si>
    <t>EJ Region - All Other Regions</t>
  </si>
  <si>
    <t>ES - Yes</t>
  </si>
  <si>
    <t>EJC - Yes</t>
  </si>
  <si>
    <t>LI CT - Yes</t>
  </si>
  <si>
    <t>WMBE - Yes</t>
  </si>
  <si>
    <t>Anchor Type NP/PF</t>
  </si>
  <si>
    <t>Anchor Type PH</t>
  </si>
  <si>
    <t>Anchor Type CSP</t>
  </si>
  <si>
    <t>Total</t>
  </si>
  <si>
    <t>Percentage</t>
  </si>
  <si>
    <t>Project: Project Id</t>
  </si>
  <si>
    <t>Size Category</t>
  </si>
  <si>
    <t>Utility Territory</t>
  </si>
  <si>
    <t>Utility Group</t>
  </si>
  <si>
    <t>Utility Group Points</t>
  </si>
  <si>
    <t>LI CT</t>
  </si>
  <si>
    <t>Part I 100% Subscriber owned</t>
  </si>
  <si>
    <t>100% Subscriber Owned Points</t>
  </si>
  <si>
    <t>WMBE</t>
  </si>
  <si>
    <t>Projected Anchor Type</t>
  </si>
  <si>
    <t>Total Points (from selection in which it was chosen)</t>
  </si>
  <si>
    <t>P-0825</t>
  </si>
  <si>
    <t>&gt;250</t>
  </si>
  <si>
    <t>Ameren</t>
  </si>
  <si>
    <t>A</t>
  </si>
  <si>
    <t>Public facility</t>
  </si>
  <si>
    <t>P-0744</t>
  </si>
  <si>
    <t>ComEd</t>
  </si>
  <si>
    <t>B</t>
  </si>
  <si>
    <t>&lt;=250</t>
  </si>
  <si>
    <t>Incentive left</t>
  </si>
  <si>
    <t>Environmental Justice Community</t>
  </si>
  <si>
    <t>Anchor Type Project Host (yes/no)</t>
  </si>
  <si>
    <t>Anchor Type Critical Service Provider (yes/no)</t>
  </si>
  <si>
    <t>This table lists all of the project attributes on which project selection is based. Scores are listed only for those categories where scores are predetermined based on the inherent characteristics of the projects.
*The Minority/Women-owned Business Enterprise (MWBE) designation includes both Approved Vendors that are themselves a MWBE as well as Approved Vendors that have made a commitment to subcontracting with a MWBE for their given project.</t>
  </si>
  <si>
    <t>2023-2024 Rank Scores: Community Solar Sub-Program
Environmental Justice Community Selection Stage</t>
  </si>
  <si>
    <t>Energy Sovereignty Points</t>
  </si>
  <si>
    <t>Anchor Type Non-Profit/Public Facility</t>
  </si>
  <si>
    <t>Environmental Justice Community Points (not used in the EJC stage)</t>
  </si>
  <si>
    <t>Low-Income Census Tract Ponts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</si>
</sst>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sz val="14"/>
      <name val="Calibri"/>
      <family val="2"/>
      <scheme val="minor"/>
    </font>
    <font>
      <b/>
      <sz val="48"/>
      <color rgb="FF1C245E"/>
      <name val="Calibri"/>
      <family val="2"/>
      <scheme val="minor"/>
    </font>
    <font>
      <sz val="14"/>
      <color rgb="FF1C245E"/>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theme="0"/>
        <bgColor indexed="64"/>
      </patternFill>
    </fill>
    <fill>
      <patternFill patternType="solid">
        <fgColor theme="2"/>
        <bgColor indexed="64"/>
      </patternFill>
    </fill>
    <fill>
      <patternFill patternType="solid">
        <fgColor rgb="FF5062E4"/>
        <bgColor theme="7"/>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style="thin">
        <color theme="4"/>
      </left>
      <right style="thin">
        <color indexed="6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indexed="64"/>
      </right>
      <top style="thin">
        <color theme="4"/>
      </top>
      <bottom/>
      <diagonal/>
    </border>
    <border>
      <left style="thin">
        <color rgb="FF1C245E"/>
      </left>
      <right/>
      <top style="thin">
        <color rgb="FF1C245E"/>
      </top>
      <bottom style="thin">
        <color rgb="FF1C245E"/>
      </bottom>
      <diagonal/>
    </border>
    <border>
      <left/>
      <right/>
      <top style="thin">
        <color rgb="FF1C245E"/>
      </top>
      <bottom style="thin">
        <color rgb="FF1C245E"/>
      </bottom>
      <diagonal/>
    </border>
    <border>
      <left/>
      <right style="thin">
        <color rgb="FF1C245E"/>
      </right>
      <top style="thin">
        <color rgb="FF1C245E"/>
      </top>
      <bottom style="thin">
        <color rgb="FF1C245E"/>
      </bottom>
      <diagonal/>
    </border>
    <border>
      <left/>
      <right/>
      <top/>
      <bottom style="thin">
        <color rgb="FF1C245E"/>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44" fontId="0" fillId="0" borderId="0" xfId="0" applyNumberFormat="1"/>
    <xf numFmtId="44" fontId="13" fillId="33" borderId="12" xfId="42" applyFont="1" applyFill="1" applyBorder="1" applyAlignment="1">
      <alignment wrapText="1"/>
    </xf>
    <xf numFmtId="0" fontId="0" fillId="0" borderId="11" xfId="0" applyBorder="1"/>
    <xf numFmtId="44" fontId="0" fillId="0" borderId="12" xfId="42" applyFont="1" applyBorder="1"/>
    <xf numFmtId="0" fontId="0" fillId="0" borderId="14" xfId="0" applyBorder="1"/>
    <xf numFmtId="44" fontId="0" fillId="0" borderId="10" xfId="42" applyFont="1" applyBorder="1"/>
    <xf numFmtId="44" fontId="13" fillId="33" borderId="11" xfId="42"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Border="1" applyAlignment="1">
      <alignment horizontal="center" wrapText="1"/>
    </xf>
    <xf numFmtId="49" fontId="0" fillId="0" borderId="16" xfId="0" applyNumberFormat="1" applyBorder="1" applyAlignment="1">
      <alignment horizontal="center" wrapText="1"/>
    </xf>
    <xf numFmtId="0" fontId="0" fillId="0" borderId="16" xfId="0" applyBorder="1" applyAlignment="1">
      <alignment horizontal="center" wrapText="1"/>
    </xf>
    <xf numFmtId="49" fontId="0" fillId="0" borderId="18" xfId="0" applyNumberForma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18" fillId="0" borderId="0" xfId="0" applyFont="1" applyAlignment="1">
      <alignment horizontal="center" vertical="center"/>
    </xf>
    <xf numFmtId="0" fontId="18" fillId="0" borderId="0" xfId="0" applyFont="1"/>
    <xf numFmtId="0" fontId="18" fillId="36" borderId="23" xfId="0" applyFont="1" applyFill="1" applyBorder="1"/>
    <xf numFmtId="44" fontId="18" fillId="36" borderId="23" xfId="42" applyFont="1" applyFill="1" applyBorder="1"/>
    <xf numFmtId="9" fontId="18" fillId="36" borderId="23" xfId="43" applyFont="1" applyFill="1" applyBorder="1" applyAlignment="1">
      <alignment horizontal="center"/>
    </xf>
    <xf numFmtId="164" fontId="18" fillId="36" borderId="22" xfId="0" applyNumberFormat="1" applyFont="1" applyFill="1" applyBorder="1" applyAlignment="1">
      <alignment horizontal="center"/>
    </xf>
    <xf numFmtId="0" fontId="18" fillId="0" borderId="23" xfId="0" applyFont="1" applyBorder="1"/>
    <xf numFmtId="44" fontId="18" fillId="35" borderId="23" xfId="42" applyFont="1" applyFill="1" applyBorder="1"/>
    <xf numFmtId="9" fontId="18" fillId="35" borderId="23" xfId="43" applyFont="1" applyFill="1" applyBorder="1" applyAlignment="1">
      <alignment horizontal="center"/>
    </xf>
    <xf numFmtId="0" fontId="18" fillId="35" borderId="24" xfId="0" applyFont="1" applyFill="1" applyBorder="1" applyAlignment="1">
      <alignment horizontal="center"/>
    </xf>
    <xf numFmtId="0" fontId="18" fillId="35" borderId="23" xfId="0" applyFont="1" applyFill="1" applyBorder="1" applyAlignment="1">
      <alignment horizontal="center"/>
    </xf>
    <xf numFmtId="44" fontId="18" fillId="0" borderId="23" xfId="0" applyNumberFormat="1" applyFont="1" applyBorder="1"/>
    <xf numFmtId="0" fontId="18" fillId="0" borderId="23" xfId="0" applyFont="1" applyBorder="1" applyAlignment="1">
      <alignment horizontal="center"/>
    </xf>
    <xf numFmtId="0" fontId="18" fillId="36" borderId="22" xfId="0" applyFont="1" applyFill="1" applyBorder="1" applyAlignment="1">
      <alignment horizontal="center"/>
    </xf>
    <xf numFmtId="44" fontId="18" fillId="0" borderId="23" xfId="42" applyFont="1" applyFill="1" applyBorder="1"/>
    <xf numFmtId="9" fontId="18" fillId="0" borderId="23" xfId="43" applyFont="1" applyFill="1" applyBorder="1" applyAlignment="1">
      <alignment horizontal="center"/>
    </xf>
    <xf numFmtId="0" fontId="18" fillId="0" borderId="22" xfId="0" applyFont="1" applyBorder="1" applyAlignment="1">
      <alignment horizontal="center"/>
    </xf>
    <xf numFmtId="0" fontId="18" fillId="0" borderId="25" xfId="0" applyFont="1" applyBorder="1" applyAlignment="1">
      <alignment horizontal="center"/>
    </xf>
    <xf numFmtId="2" fontId="18" fillId="36" borderId="22" xfId="0" applyNumberFormat="1" applyFont="1" applyFill="1" applyBorder="1" applyAlignment="1">
      <alignment horizontal="center"/>
    </xf>
    <xf numFmtId="2" fontId="18" fillId="36" borderId="23" xfId="0" applyNumberFormat="1" applyFont="1" applyFill="1" applyBorder="1" applyAlignment="1">
      <alignment horizontal="center"/>
    </xf>
    <xf numFmtId="0" fontId="18" fillId="0" borderId="12" xfId="0" applyFont="1" applyBorder="1"/>
    <xf numFmtId="44" fontId="19" fillId="33" borderId="12" xfId="42" applyFont="1" applyFill="1" applyBorder="1" applyAlignment="1">
      <alignment horizontal="center" vertical="center" wrapText="1"/>
    </xf>
    <xf numFmtId="9" fontId="19" fillId="33" borderId="12" xfId="43" applyFont="1" applyFill="1" applyBorder="1" applyAlignment="1">
      <alignment horizontal="center" vertical="center" wrapText="1"/>
    </xf>
    <xf numFmtId="0" fontId="19" fillId="33" borderId="13" xfId="0" applyFont="1" applyFill="1" applyBorder="1" applyAlignment="1">
      <alignment horizontal="center" vertical="center"/>
    </xf>
    <xf numFmtId="0" fontId="19" fillId="33" borderId="11" xfId="42" applyNumberFormat="1" applyFont="1" applyFill="1" applyBorder="1" applyAlignment="1">
      <alignment horizontal="center" vertical="center" wrapText="1"/>
    </xf>
    <xf numFmtId="0" fontId="20" fillId="0" borderId="0" xfId="0" applyFont="1" applyAlignment="1">
      <alignment horizontal="center" vertical="center"/>
    </xf>
    <xf numFmtId="0" fontId="20" fillId="36" borderId="23" xfId="0" applyFont="1" applyFill="1" applyBorder="1" applyAlignment="1">
      <alignment horizontal="center" vertical="center"/>
    </xf>
    <xf numFmtId="44" fontId="20" fillId="36" borderId="23" xfId="42" applyFont="1" applyFill="1" applyBorder="1" applyAlignment="1">
      <alignment horizontal="center" vertical="center"/>
    </xf>
    <xf numFmtId="9" fontId="20" fillId="36" borderId="23" xfId="43" applyFont="1" applyFill="1" applyBorder="1" applyAlignment="1">
      <alignment horizontal="center" vertical="center"/>
    </xf>
    <xf numFmtId="164" fontId="20" fillId="36" borderId="22" xfId="0" applyNumberFormat="1" applyFont="1" applyFill="1" applyBorder="1" applyAlignment="1">
      <alignment horizontal="center" vertical="center"/>
    </xf>
    <xf numFmtId="0" fontId="19" fillId="37" borderId="26" xfId="0" applyFont="1" applyFill="1" applyBorder="1" applyAlignment="1">
      <alignment horizontal="center" vertical="center" wrapText="1"/>
    </xf>
    <xf numFmtId="0" fontId="19" fillId="37" borderId="27" xfId="0" applyFont="1" applyFill="1" applyBorder="1" applyAlignment="1">
      <alignment horizontal="center" vertical="center" wrapText="1"/>
    </xf>
    <xf numFmtId="0" fontId="19" fillId="37" borderId="28" xfId="0" applyFont="1" applyFill="1" applyBorder="1" applyAlignment="1">
      <alignment horizontal="center" vertical="center" wrapText="1"/>
    </xf>
    <xf numFmtId="0" fontId="22" fillId="0" borderId="0" xfId="0" applyFont="1" applyBorder="1" applyAlignment="1">
      <alignment horizontal="left" wrapText="1"/>
    </xf>
    <xf numFmtId="49" fontId="20" fillId="0" borderId="26" xfId="0" applyNumberFormat="1" applyFont="1" applyFill="1" applyBorder="1" applyAlignment="1">
      <alignment horizontal="center" wrapText="1"/>
    </xf>
    <xf numFmtId="49" fontId="20" fillId="0" borderId="27" xfId="0" applyNumberFormat="1" applyFont="1" applyFill="1" applyBorder="1" applyAlignment="1">
      <alignment horizontal="center" wrapText="1"/>
    </xf>
    <xf numFmtId="44" fontId="20" fillId="0" borderId="27" xfId="42" applyFont="1" applyFill="1" applyBorder="1" applyAlignment="1">
      <alignment horizontal="center" wrapText="1"/>
    </xf>
    <xf numFmtId="0" fontId="20" fillId="0" borderId="27" xfId="0" applyFont="1" applyFill="1" applyBorder="1" applyAlignment="1">
      <alignment horizontal="center" wrapText="1"/>
    </xf>
    <xf numFmtId="0" fontId="20" fillId="0" borderId="27" xfId="0" applyFont="1" applyFill="1" applyBorder="1" applyAlignment="1">
      <alignment horizontal="center"/>
    </xf>
    <xf numFmtId="2" fontId="20" fillId="0" borderId="27" xfId="0" applyNumberFormat="1" applyFont="1" applyFill="1" applyBorder="1" applyAlignment="1">
      <alignment horizontal="center" wrapText="1"/>
    </xf>
    <xf numFmtId="164" fontId="20" fillId="0" borderId="28" xfId="0" applyNumberFormat="1" applyFont="1" applyFill="1" applyBorder="1" applyAlignment="1">
      <alignment horizontal="center"/>
    </xf>
    <xf numFmtId="0" fontId="21" fillId="0" borderId="0" xfId="0" applyFont="1" applyBorder="1" applyAlignment="1">
      <alignment wrapText="1"/>
    </xf>
    <xf numFmtId="0" fontId="21" fillId="0" borderId="29" xfId="0" applyFont="1" applyBorder="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1C245E"/>
      <color rgb="FF5062E4"/>
      <color rgb="FF5062E5"/>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392906</xdr:rowOff>
    </xdr:from>
    <xdr:to>
      <xdr:col>3</xdr:col>
      <xdr:colOff>1474778</xdr:colOff>
      <xdr:row>0</xdr:row>
      <xdr:rowOff>1345406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92906"/>
          <a:ext cx="4856153"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E0B4-1E70-47F4-9CF3-6B6F2AC30CB5}">
  <dimension ref="A1:Y19"/>
  <sheetViews>
    <sheetView showGridLines="0" tabSelected="1" zoomScale="80" zoomScaleNormal="80" workbookViewId="0">
      <selection activeCell="H14" sqref="H14"/>
    </sheetView>
  </sheetViews>
  <sheetFormatPr defaultColWidth="11.28515625" defaultRowHeight="18.75" x14ac:dyDescent="0.3"/>
  <cols>
    <col min="1" max="1" width="15.7109375" style="20" customWidth="1"/>
    <col min="2" max="2" width="22.140625" style="20" customWidth="1"/>
    <col min="3" max="3" width="15.7109375" style="20" customWidth="1"/>
    <col min="4" max="4" width="22.42578125" style="20" customWidth="1"/>
    <col min="5" max="5" width="10.42578125" style="20" customWidth="1"/>
    <col min="6" max="6" width="23.85546875" style="20" customWidth="1"/>
    <col min="7" max="7" width="23.5703125" style="20" customWidth="1"/>
    <col min="8" max="8" width="19.85546875" style="20" customWidth="1"/>
    <col min="9" max="9" width="15.140625" style="20" customWidth="1"/>
    <col min="10" max="10" width="20.42578125" style="20" customWidth="1"/>
    <col min="11" max="11" width="27.42578125" style="20" customWidth="1"/>
    <col min="12" max="12" width="17.85546875" style="20" customWidth="1"/>
    <col min="13" max="13" width="18.140625" style="20" customWidth="1"/>
    <col min="14" max="14" width="23" style="20" customWidth="1"/>
    <col min="15" max="15" width="13.140625" style="20" customWidth="1"/>
    <col min="16" max="16" width="23.5703125" style="20" customWidth="1"/>
    <col min="17" max="17" width="19" style="20" customWidth="1"/>
    <col min="18" max="18" width="24.85546875" style="20" customWidth="1"/>
    <col min="19" max="19" width="16.42578125" style="20" customWidth="1"/>
    <col min="20" max="20" width="14.85546875" style="20" bestFit="1" customWidth="1"/>
    <col min="21" max="21" width="7.5703125" style="20" customWidth="1"/>
    <col min="22" max="22" width="51" style="20" customWidth="1"/>
    <col min="23" max="23" width="18.7109375" style="20" customWidth="1"/>
    <col min="24" max="24" width="19.140625" style="20" customWidth="1"/>
    <col min="25" max="25" width="8.42578125" style="20" bestFit="1" customWidth="1"/>
    <col min="26" max="16384" width="11.28515625" style="20"/>
  </cols>
  <sheetData>
    <row r="1" spans="1:25" ht="141" customHeight="1" x14ac:dyDescent="0.9">
      <c r="D1" s="61" t="s">
        <v>67</v>
      </c>
      <c r="E1" s="61"/>
      <c r="F1" s="61"/>
      <c r="G1" s="61"/>
      <c r="H1" s="61"/>
      <c r="I1" s="61"/>
      <c r="J1" s="61"/>
      <c r="K1" s="61"/>
      <c r="L1" s="61"/>
      <c r="M1" s="61"/>
      <c r="N1" s="61"/>
      <c r="O1" s="61"/>
      <c r="P1" s="61"/>
      <c r="Q1" s="61"/>
      <c r="R1" s="61"/>
      <c r="S1" s="61"/>
      <c r="T1" s="60"/>
    </row>
    <row r="2" spans="1:25" s="19" customFormat="1" ht="95.25" customHeight="1" x14ac:dyDescent="0.25">
      <c r="A2" s="49" t="s">
        <v>0</v>
      </c>
      <c r="B2" s="50" t="s">
        <v>1</v>
      </c>
      <c r="C2" s="50" t="s">
        <v>2</v>
      </c>
      <c r="D2" s="50" t="s">
        <v>3</v>
      </c>
      <c r="E2" s="50" t="s">
        <v>4</v>
      </c>
      <c r="F2" s="50" t="s">
        <v>5</v>
      </c>
      <c r="G2" s="50" t="s">
        <v>6</v>
      </c>
      <c r="H2" s="50" t="s">
        <v>7</v>
      </c>
      <c r="I2" s="50" t="s">
        <v>68</v>
      </c>
      <c r="J2" s="50" t="s">
        <v>63</v>
      </c>
      <c r="K2" s="50" t="s">
        <v>70</v>
      </c>
      <c r="L2" s="50" t="s">
        <v>10</v>
      </c>
      <c r="M2" s="50" t="s">
        <v>71</v>
      </c>
      <c r="N2" s="50" t="s">
        <v>12</v>
      </c>
      <c r="O2" s="50" t="s">
        <v>13</v>
      </c>
      <c r="P2" s="50" t="s">
        <v>69</v>
      </c>
      <c r="Q2" s="50" t="s">
        <v>64</v>
      </c>
      <c r="R2" s="50" t="s">
        <v>65</v>
      </c>
      <c r="S2" s="50" t="s">
        <v>14</v>
      </c>
      <c r="T2" s="51" t="s">
        <v>15</v>
      </c>
      <c r="V2" s="43" t="s">
        <v>16</v>
      </c>
      <c r="W2" s="40" t="s">
        <v>17</v>
      </c>
      <c r="X2" s="41" t="s">
        <v>18</v>
      </c>
      <c r="Y2" s="42" t="s">
        <v>19</v>
      </c>
    </row>
    <row r="3" spans="1:25" s="44" customFormat="1" ht="48.75" customHeight="1" x14ac:dyDescent="0.3">
      <c r="A3" s="53" t="s">
        <v>24</v>
      </c>
      <c r="B3" s="54" t="s">
        <v>20</v>
      </c>
      <c r="C3" s="55">
        <v>957913.52</v>
      </c>
      <c r="D3" s="56">
        <v>400</v>
      </c>
      <c r="E3" s="56">
        <v>1</v>
      </c>
      <c r="F3" s="54" t="s">
        <v>25</v>
      </c>
      <c r="G3" s="57">
        <v>2</v>
      </c>
      <c r="H3" s="57" t="s">
        <v>21</v>
      </c>
      <c r="I3" s="57">
        <v>0</v>
      </c>
      <c r="J3" s="54" t="s">
        <v>22</v>
      </c>
      <c r="K3" s="56">
        <v>2</v>
      </c>
      <c r="L3" s="54" t="s">
        <v>22</v>
      </c>
      <c r="M3" s="56">
        <v>2</v>
      </c>
      <c r="N3" s="54" t="s">
        <v>22</v>
      </c>
      <c r="O3" s="57">
        <v>2</v>
      </c>
      <c r="P3" s="54" t="s">
        <v>21</v>
      </c>
      <c r="Q3" s="54" t="s">
        <v>22</v>
      </c>
      <c r="R3" s="54" t="s">
        <v>21</v>
      </c>
      <c r="S3" s="58">
        <f t="shared" ref="S3" si="0">IF(P3="no",0,(2+(IF(Q3="yes",0.75,0))+IF(R3="yes",0.5,0)))</f>
        <v>0</v>
      </c>
      <c r="T3" s="59">
        <f>E3+G3+I3+M3+O3+S3</f>
        <v>7</v>
      </c>
      <c r="V3" s="45" t="s">
        <v>23</v>
      </c>
      <c r="W3" s="46">
        <f>SUMIF(E:E,"0",C:C)</f>
        <v>0</v>
      </c>
      <c r="X3" s="47">
        <f>W3/W$18</f>
        <v>0</v>
      </c>
      <c r="Y3" s="48">
        <v>0</v>
      </c>
    </row>
    <row r="4" spans="1:25" x14ac:dyDescent="0.3">
      <c r="A4" s="52" t="s">
        <v>66</v>
      </c>
      <c r="B4" s="52"/>
      <c r="C4" s="52"/>
      <c r="D4" s="52"/>
      <c r="E4" s="52"/>
      <c r="F4" s="52"/>
      <c r="G4" s="52"/>
      <c r="H4" s="52"/>
      <c r="I4" s="52"/>
      <c r="J4" s="52"/>
      <c r="K4" s="52"/>
      <c r="L4" s="52"/>
      <c r="M4" s="52"/>
      <c r="N4" s="52"/>
      <c r="O4" s="52"/>
      <c r="P4" s="52"/>
      <c r="Q4" s="52"/>
      <c r="R4" s="52"/>
      <c r="S4" s="52"/>
      <c r="T4" s="52"/>
      <c r="V4" s="21" t="s">
        <v>26</v>
      </c>
      <c r="W4" s="22">
        <f>SUMIF(E:E,"0.5",C:C)</f>
        <v>0</v>
      </c>
      <c r="X4" s="23">
        <f>W4/W$18</f>
        <v>0</v>
      </c>
      <c r="Y4" s="24">
        <v>0.5</v>
      </c>
    </row>
    <row r="5" spans="1:25" ht="18.75" customHeight="1" x14ac:dyDescent="0.3">
      <c r="A5" s="52"/>
      <c r="B5" s="52"/>
      <c r="C5" s="52"/>
      <c r="D5" s="52"/>
      <c r="E5" s="52"/>
      <c r="F5" s="52"/>
      <c r="G5" s="52"/>
      <c r="H5" s="52"/>
      <c r="I5" s="52"/>
      <c r="J5" s="52"/>
      <c r="K5" s="52"/>
      <c r="L5" s="52"/>
      <c r="M5" s="52"/>
      <c r="N5" s="52"/>
      <c r="O5" s="52"/>
      <c r="P5" s="52"/>
      <c r="Q5" s="52"/>
      <c r="R5" s="52"/>
      <c r="S5" s="52"/>
      <c r="T5" s="52"/>
      <c r="V5" s="21" t="s">
        <v>27</v>
      </c>
      <c r="W5" s="22">
        <f>SUMIF(E:E,"1.0",C:C)</f>
        <v>957913.52</v>
      </c>
      <c r="X5" s="23">
        <f>W5/W$18</f>
        <v>1</v>
      </c>
      <c r="Y5" s="24">
        <v>1</v>
      </c>
    </row>
    <row r="6" spans="1:25" x14ac:dyDescent="0.3">
      <c r="A6" s="52"/>
      <c r="B6" s="52"/>
      <c r="C6" s="52"/>
      <c r="D6" s="52"/>
      <c r="E6" s="52"/>
      <c r="F6" s="52"/>
      <c r="G6" s="52"/>
      <c r="H6" s="52"/>
      <c r="I6" s="52"/>
      <c r="J6" s="52"/>
      <c r="K6" s="52"/>
      <c r="L6" s="52"/>
      <c r="M6" s="52"/>
      <c r="N6" s="52"/>
      <c r="O6" s="52"/>
      <c r="P6" s="52"/>
      <c r="Q6" s="52"/>
      <c r="R6" s="52"/>
      <c r="S6" s="52"/>
      <c r="T6" s="52"/>
      <c r="V6" s="21" t="s">
        <v>28</v>
      </c>
      <c r="W6" s="22">
        <f>SUMIF(E:E,"1.5",C:C)</f>
        <v>0</v>
      </c>
      <c r="X6" s="23">
        <f>W6/W$18</f>
        <v>0</v>
      </c>
      <c r="Y6" s="24">
        <v>1.5</v>
      </c>
    </row>
    <row r="7" spans="1:25" x14ac:dyDescent="0.3">
      <c r="A7" s="52"/>
      <c r="B7" s="52"/>
      <c r="C7" s="52"/>
      <c r="D7" s="52"/>
      <c r="E7" s="52"/>
      <c r="F7" s="52"/>
      <c r="G7" s="52"/>
      <c r="H7" s="52"/>
      <c r="I7" s="52"/>
      <c r="J7" s="52"/>
      <c r="K7" s="52"/>
      <c r="L7" s="52"/>
      <c r="M7" s="52"/>
      <c r="N7" s="52"/>
      <c r="O7" s="52"/>
      <c r="P7" s="52"/>
      <c r="Q7" s="52"/>
      <c r="R7" s="52"/>
      <c r="S7" s="52"/>
      <c r="T7" s="52"/>
      <c r="V7" s="25" t="s">
        <v>29</v>
      </c>
      <c r="W7" s="26">
        <f>SUMIF(F:F,"Cook",C:C)</f>
        <v>957913.52</v>
      </c>
      <c r="X7" s="27">
        <f t="shared" ref="X7:X17" si="1">W7/$W$18</f>
        <v>1</v>
      </c>
      <c r="Y7" s="28">
        <v>2</v>
      </c>
    </row>
    <row r="8" spans="1:25" x14ac:dyDescent="0.3">
      <c r="A8" s="52"/>
      <c r="B8" s="52"/>
      <c r="C8" s="52"/>
      <c r="D8" s="52"/>
      <c r="E8" s="52"/>
      <c r="F8" s="52"/>
      <c r="G8" s="52"/>
      <c r="H8" s="52"/>
      <c r="I8" s="52"/>
      <c r="J8" s="52"/>
      <c r="K8" s="52"/>
      <c r="L8" s="52"/>
      <c r="M8" s="52"/>
      <c r="N8" s="52"/>
      <c r="O8" s="52"/>
      <c r="P8" s="52"/>
      <c r="Q8" s="52"/>
      <c r="R8" s="52"/>
      <c r="S8" s="52"/>
      <c r="T8" s="52"/>
      <c r="V8" s="25" t="s">
        <v>30</v>
      </c>
      <c r="W8" s="26">
        <f>SUMIF(F:F,"North East",C:C)</f>
        <v>0</v>
      </c>
      <c r="X8" s="27">
        <f t="shared" si="1"/>
        <v>0</v>
      </c>
      <c r="Y8" s="29">
        <v>1</v>
      </c>
    </row>
    <row r="9" spans="1:25" x14ac:dyDescent="0.3">
      <c r="V9" s="25" t="s">
        <v>31</v>
      </c>
      <c r="W9" s="30">
        <f>(SUMIF(F:F,"Southern",C:C))</f>
        <v>0</v>
      </c>
      <c r="X9" s="27">
        <f t="shared" si="1"/>
        <v>0</v>
      </c>
      <c r="Y9" s="31">
        <v>1</v>
      </c>
    </row>
    <row r="10" spans="1:25" x14ac:dyDescent="0.3">
      <c r="V10" s="25" t="s">
        <v>32</v>
      </c>
      <c r="W10" s="26">
        <f>(SUMIF(F:F,"North West",C:C))+(SUMIF(F:F,"West Central",C:C))+(SUMIF(F:F,"East Central",C:C))</f>
        <v>0</v>
      </c>
      <c r="X10" s="27">
        <f t="shared" si="1"/>
        <v>0</v>
      </c>
      <c r="Y10" s="29">
        <v>0</v>
      </c>
    </row>
    <row r="11" spans="1:25" x14ac:dyDescent="0.3">
      <c r="V11" s="21" t="s">
        <v>33</v>
      </c>
      <c r="W11" s="22">
        <f>SUMIF(I:I,"2",C:C)</f>
        <v>0</v>
      </c>
      <c r="X11" s="23">
        <f t="shared" si="1"/>
        <v>0</v>
      </c>
      <c r="Y11" s="32">
        <v>2</v>
      </c>
    </row>
    <row r="12" spans="1:25" x14ac:dyDescent="0.3">
      <c r="V12" s="25" t="s">
        <v>34</v>
      </c>
      <c r="W12" s="33">
        <f>SUMIF(K:K,"2",C:C)</f>
        <v>957913.52</v>
      </c>
      <c r="X12" s="34">
        <f t="shared" si="1"/>
        <v>1</v>
      </c>
      <c r="Y12" s="35">
        <v>2</v>
      </c>
    </row>
    <row r="13" spans="1:25" x14ac:dyDescent="0.3">
      <c r="V13" s="21" t="s">
        <v>35</v>
      </c>
      <c r="W13" s="22">
        <f>SUMIF(K:K,"2",C:C)</f>
        <v>957913.52</v>
      </c>
      <c r="X13" s="23">
        <f t="shared" si="1"/>
        <v>1</v>
      </c>
      <c r="Y13" s="32">
        <v>2</v>
      </c>
    </row>
    <row r="14" spans="1:25" x14ac:dyDescent="0.3">
      <c r="V14" s="25" t="s">
        <v>36</v>
      </c>
      <c r="W14" s="33">
        <f>SUMIF(O:O,"2",C:C)</f>
        <v>957913.52</v>
      </c>
      <c r="X14" s="34">
        <f t="shared" si="1"/>
        <v>1</v>
      </c>
      <c r="Y14" s="36">
        <v>2</v>
      </c>
    </row>
    <row r="15" spans="1:25" x14ac:dyDescent="0.3">
      <c r="V15" s="21" t="s">
        <v>37</v>
      </c>
      <c r="W15" s="22">
        <f>SUMIF(P:P,"Yes",C:C)</f>
        <v>0</v>
      </c>
      <c r="X15" s="23">
        <f t="shared" si="1"/>
        <v>0</v>
      </c>
      <c r="Y15" s="37">
        <v>2</v>
      </c>
    </row>
    <row r="16" spans="1:25" x14ac:dyDescent="0.3">
      <c r="V16" s="21" t="s">
        <v>38</v>
      </c>
      <c r="W16" s="22">
        <f>SUMIF(Q:Q,"yes",C:C)</f>
        <v>957913.52</v>
      </c>
      <c r="X16" s="23">
        <f t="shared" si="1"/>
        <v>1</v>
      </c>
      <c r="Y16" s="38">
        <v>0.75</v>
      </c>
    </row>
    <row r="17" spans="22:25" x14ac:dyDescent="0.3">
      <c r="V17" s="21" t="s">
        <v>39</v>
      </c>
      <c r="W17" s="22">
        <f>SUMIF(R:R,"yes",C:C)</f>
        <v>0</v>
      </c>
      <c r="X17" s="23">
        <f t="shared" si="1"/>
        <v>0</v>
      </c>
      <c r="Y17" s="38">
        <v>0.5</v>
      </c>
    </row>
    <row r="18" spans="22:25" x14ac:dyDescent="0.3">
      <c r="V18" s="25" t="s">
        <v>40</v>
      </c>
      <c r="W18" s="33">
        <f>SUM(C:C)</f>
        <v>957913.52</v>
      </c>
      <c r="X18" s="34"/>
      <c r="Y18" s="31"/>
    </row>
    <row r="19" spans="22:25" x14ac:dyDescent="0.3">
      <c r="V19" s="39"/>
    </row>
  </sheetData>
  <sortState xmlns:xlrd2="http://schemas.microsoft.com/office/spreadsheetml/2017/richdata2" ref="A3:R3">
    <sortCondition descending="1" ref="R3"/>
  </sortState>
  <mergeCells count="2">
    <mergeCell ref="A4:T8"/>
    <mergeCell ref="D1:S1"/>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42</v>
      </c>
      <c r="B1" s="15" t="s">
        <v>1</v>
      </c>
      <c r="C1" s="15" t="s">
        <v>2</v>
      </c>
      <c r="D1" s="15" t="s">
        <v>3</v>
      </c>
      <c r="E1" s="15" t="s">
        <v>43</v>
      </c>
      <c r="F1" s="15" t="s">
        <v>4</v>
      </c>
      <c r="G1" s="15" t="s">
        <v>44</v>
      </c>
      <c r="H1" s="15" t="s">
        <v>45</v>
      </c>
      <c r="I1" s="15" t="s">
        <v>46</v>
      </c>
      <c r="J1" s="15" t="s">
        <v>8</v>
      </c>
      <c r="K1" s="15" t="s">
        <v>9</v>
      </c>
      <c r="L1" s="15" t="s">
        <v>47</v>
      </c>
      <c r="M1" s="15" t="s">
        <v>11</v>
      </c>
      <c r="N1" s="15" t="s">
        <v>48</v>
      </c>
      <c r="O1" s="15" t="s">
        <v>49</v>
      </c>
      <c r="P1" s="15" t="s">
        <v>50</v>
      </c>
      <c r="Q1" s="15" t="s">
        <v>13</v>
      </c>
      <c r="R1" s="15" t="s">
        <v>51</v>
      </c>
      <c r="S1" s="15" t="s">
        <v>14</v>
      </c>
      <c r="T1" s="16" t="s">
        <v>52</v>
      </c>
      <c r="V1" s="7" t="s">
        <v>16</v>
      </c>
      <c r="W1" s="2" t="s">
        <v>17</v>
      </c>
      <c r="X1" s="9" t="s">
        <v>41</v>
      </c>
    </row>
    <row r="2" spans="1:24" ht="30" x14ac:dyDescent="0.25">
      <c r="A2" s="10" t="s">
        <v>53</v>
      </c>
      <c r="B2" s="11" t="s">
        <v>20</v>
      </c>
      <c r="C2" s="11">
        <v>5808540</v>
      </c>
      <c r="D2" s="11">
        <v>1850</v>
      </c>
      <c r="E2" s="11" t="s">
        <v>54</v>
      </c>
      <c r="F2" s="11">
        <v>0</v>
      </c>
      <c r="G2" s="11" t="s">
        <v>55</v>
      </c>
      <c r="H2" s="11" t="s">
        <v>56</v>
      </c>
      <c r="I2" s="12">
        <v>2</v>
      </c>
      <c r="J2" s="11" t="s">
        <v>22</v>
      </c>
      <c r="K2" s="11">
        <v>1</v>
      </c>
      <c r="L2" s="11" t="s">
        <v>22</v>
      </c>
      <c r="M2" s="11">
        <v>1</v>
      </c>
      <c r="N2" s="11" t="s">
        <v>21</v>
      </c>
      <c r="O2" s="11">
        <v>0</v>
      </c>
      <c r="P2" s="11" t="s">
        <v>21</v>
      </c>
      <c r="Q2" s="11">
        <v>0</v>
      </c>
      <c r="R2" s="11" t="s">
        <v>57</v>
      </c>
      <c r="S2" s="11">
        <v>1</v>
      </c>
      <c r="T2" s="13">
        <v>4</v>
      </c>
      <c r="V2" s="3" t="s">
        <v>56</v>
      </c>
      <c r="W2" s="4">
        <f>SUMIF(H:H,"A",C:C)</f>
        <v>5808540</v>
      </c>
      <c r="X2" s="17">
        <f>Total_Incentives!$W2/W6</f>
        <v>0.45510839332886943</v>
      </c>
    </row>
    <row r="3" spans="1:24" ht="30" x14ac:dyDescent="0.25">
      <c r="A3" s="10" t="s">
        <v>58</v>
      </c>
      <c r="B3" s="11" t="s">
        <v>20</v>
      </c>
      <c r="C3" s="11">
        <v>6954441.4900000002</v>
      </c>
      <c r="D3" s="11">
        <v>2000</v>
      </c>
      <c r="E3" s="11" t="s">
        <v>54</v>
      </c>
      <c r="F3" s="11">
        <v>0</v>
      </c>
      <c r="G3" s="11" t="s">
        <v>59</v>
      </c>
      <c r="H3" s="11" t="s">
        <v>60</v>
      </c>
      <c r="I3" s="12">
        <v>0.5</v>
      </c>
      <c r="J3" s="11" t="s">
        <v>22</v>
      </c>
      <c r="K3" s="11">
        <v>1</v>
      </c>
      <c r="L3" s="11" t="s">
        <v>22</v>
      </c>
      <c r="M3" s="11">
        <v>1</v>
      </c>
      <c r="N3" s="11" t="s">
        <v>21</v>
      </c>
      <c r="O3" s="11">
        <v>0</v>
      </c>
      <c r="P3" s="11" t="s">
        <v>21</v>
      </c>
      <c r="Q3" s="11">
        <v>0</v>
      </c>
      <c r="R3" s="11" t="s">
        <v>57</v>
      </c>
      <c r="S3" s="11">
        <v>1</v>
      </c>
      <c r="T3" s="12">
        <v>2.5</v>
      </c>
      <c r="V3" s="3" t="s">
        <v>60</v>
      </c>
      <c r="W3" s="4">
        <f>SUMIF(H:H,"B",C:C)</f>
        <v>6954441.4900000002</v>
      </c>
      <c r="X3" s="17">
        <f>Total_Incentives!$W3/W6</f>
        <v>0.54489160667113057</v>
      </c>
    </row>
    <row r="4" spans="1:24" x14ac:dyDescent="0.25">
      <c r="V4" s="3" t="s">
        <v>54</v>
      </c>
      <c r="W4" s="4">
        <f>SUM(C:C)</f>
        <v>12762981.49</v>
      </c>
      <c r="X4" s="17">
        <f>Total_Incentives!$W4/W6</f>
        <v>1</v>
      </c>
    </row>
    <row r="5" spans="1:24" x14ac:dyDescent="0.25">
      <c r="V5" s="3" t="s">
        <v>61</v>
      </c>
      <c r="W5" s="4">
        <f>SUMIF(C:C,"&lt;=250",F:F)</f>
        <v>0</v>
      </c>
      <c r="X5" s="17"/>
    </row>
    <row r="6" spans="1:24" x14ac:dyDescent="0.25">
      <c r="V6" s="5" t="s">
        <v>40</v>
      </c>
      <c r="W6" s="6">
        <f>SUM(W2:W3)</f>
        <v>12762981.49</v>
      </c>
      <c r="X6" s="18"/>
    </row>
    <row r="7" spans="1:24" x14ac:dyDescent="0.25">
      <c r="X7" s="8"/>
    </row>
    <row r="8" spans="1:24" x14ac:dyDescent="0.25">
      <c r="V8" t="s">
        <v>62</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95cb2c-15d4-40b4-a5ea-5b363946ee4f"/>
    <lcf76f155ced4ddcb4097134ff3c332f xmlns="b6b43722-16b9-40ab-9842-b5379c0457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06E127288E664784213818CB5C5DCA" ma:contentTypeVersion="20" ma:contentTypeDescription="Create a new document." ma:contentTypeScope="" ma:versionID="9472edbfb0bcde4de3e90f0b05cc24dd">
  <xsd:schema xmlns:xsd="http://www.w3.org/2001/XMLSchema" xmlns:xs="http://www.w3.org/2001/XMLSchema" xmlns:p="http://schemas.microsoft.com/office/2006/metadata/properties" xmlns:ns1="http://schemas.microsoft.com/sharepoint/v3" xmlns:ns2="b6b43722-16b9-40ab-9842-b5379c0457c4" xmlns:ns3="3b95cb2c-15d4-40b4-a5ea-5b363946ee4f" targetNamespace="http://schemas.microsoft.com/office/2006/metadata/properties" ma:root="true" ma:fieldsID="7b7b4977b1ff0ad45e40a4c66aea9891" ns1:_="" ns2:_="" ns3:_="">
    <xsd:import namespace="http://schemas.microsoft.com/sharepoint/v3"/>
    <xsd:import namespace="b6b43722-16b9-40ab-9842-b5379c0457c4"/>
    <xsd:import namespace="3b95cb2c-15d4-40b4-a5ea-5b363946ee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b43722-16b9-40ab-9842-b5379c045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929fd34-26c8-4d9f-a66d-c4a6e1935494"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95cb2c-15d4-40b4-a5ea-5b363946ee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8fe15d5-506a-46b3-8627-fe2bafb960da}" ma:internalName="TaxCatchAll" ma:showField="CatchAllData" ma:web="3b95cb2c-15d4-40b4-a5ea-5b363946e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2.xml><?xml version="1.0" encoding="utf-8"?>
<ds:datastoreItem xmlns:ds="http://schemas.openxmlformats.org/officeDocument/2006/customXml" ds:itemID="{0846C02D-8868-4D0F-B13B-1F6B040CEB66}">
  <ds:schemaRefs>
    <ds:schemaRef ds:uri="http://purl.org/dc/elements/1.1/"/>
    <ds:schemaRef ds:uri="b6b43722-16b9-40ab-9842-b5379c0457c4"/>
    <ds:schemaRef ds:uri="http://schemas.openxmlformats.org/package/2006/metadata/core-properties"/>
    <ds:schemaRef ds:uri="http://www.w3.org/XML/1998/namespace"/>
    <ds:schemaRef ds:uri="http://schemas.microsoft.com/office/2006/documentManagement/types"/>
    <ds:schemaRef ds:uri="3b95cb2c-15d4-40b4-a5ea-5b363946ee4f"/>
    <ds:schemaRef ds:uri="http://schemas.microsoft.com/office/2006/metadata/properties"/>
    <ds:schemaRef ds:uri="http://schemas.microsoft.com/sharepoint/v3"/>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E16F0FEE-D456-4D8E-AE03-1D400FED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b43722-16b9-40ab-9842-b5379c0457c4"/>
    <ds:schemaRef ds:uri="3b95cb2c-15d4-40b4-a5ea-5b363946e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EJC Projects</vt:lpstr>
      <vt:lpstr>Total_Incentives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Philbrick</dc:creator>
  <cp:keywords/>
  <dc:description/>
  <cp:lastModifiedBy>Emily Chan</cp:lastModifiedBy>
  <cp:revision/>
  <dcterms:created xsi:type="dcterms:W3CDTF">2019-08-02T20:37:48Z</dcterms:created>
  <dcterms:modified xsi:type="dcterms:W3CDTF">2024-01-16T20:58:59Z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0x0101002806E127288E664784213818CB5C5DCA</vt:lpwstr>
  </property>
  <property fmtid="{D5CDD505-2E9C-101B-9397-08002B2CF9AE}" pid="3" name="MediaServiceImageTags">
    <vt:lpwstr/>
  </property>
</Properties>
</file>